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quisson.silva\Documents\Pessoal\"/>
    </mc:Choice>
  </mc:AlternateContent>
  <xr:revisionPtr revIDLastSave="0" documentId="13_ncr:1_{5ED632E7-8BDA-4584-B450-785579DBBCDA}" xr6:coauthVersionLast="45" xr6:coauthVersionMax="45" xr10:uidLastSave="{00000000-0000-0000-0000-000000000000}"/>
  <bookViews>
    <workbookView xWindow="-110" yWindow="-110" windowWidth="19420" windowHeight="10420" xr2:uid="{BB61A097-B3BD-4E76-8CE9-D9E17AA5E7F3}"/>
  </bookViews>
  <sheets>
    <sheet name="Simulador Car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29" i="1"/>
  <c r="D28" i="1"/>
  <c r="D27" i="1"/>
  <c r="D26" i="1"/>
  <c r="D25" i="1"/>
  <c r="D22" i="1"/>
  <c r="D21" i="1"/>
  <c r="D20" i="1"/>
  <c r="D17" i="1"/>
  <c r="D15" i="1"/>
  <c r="D16" i="1" s="1"/>
  <c r="I8" i="1"/>
  <c r="J8" i="1" s="1"/>
  <c r="Q7" i="1"/>
  <c r="S7" i="1" s="1"/>
  <c r="T7" i="1" s="1"/>
  <c r="I7" i="1"/>
  <c r="J7" i="1" s="1"/>
  <c r="Q6" i="1"/>
  <c r="R6" i="1" s="1"/>
  <c r="S6" i="1" s="1"/>
  <c r="I6" i="1"/>
  <c r="J6" i="1" s="1"/>
  <c r="R5" i="1"/>
  <c r="S5" i="1" s="1"/>
  <c r="F19" i="1" s="1"/>
  <c r="D31" i="1" l="1"/>
  <c r="D24" i="1"/>
  <c r="I5" i="1"/>
  <c r="J5" i="1" s="1"/>
  <c r="H19" i="1"/>
  <c r="I28" i="1"/>
  <c r="K28" i="1"/>
  <c r="G29" i="1"/>
  <c r="G28" i="1"/>
  <c r="F21" i="1"/>
  <c r="I4" i="1"/>
  <c r="J4" i="1" l="1"/>
  <c r="I2" i="1"/>
  <c r="J2" i="1" s="1"/>
  <c r="J19" i="1" s="1"/>
  <c r="G27" i="1"/>
  <c r="I29" i="1"/>
  <c r="I27" i="1" s="1"/>
  <c r="H21" i="1"/>
  <c r="K29" i="1" l="1"/>
  <c r="K27" i="1" s="1"/>
  <c r="J21" i="1"/>
</calcChain>
</file>

<file path=xl/sharedStrings.xml><?xml version="1.0" encoding="utf-8"?>
<sst xmlns="http://schemas.openxmlformats.org/spreadsheetml/2006/main" count="82" uniqueCount="68">
  <si>
    <t>Simulador Carro: Compra x Aluguel x Uber</t>
  </si>
  <si>
    <t>Total/Média</t>
  </si>
  <si>
    <t>Ano</t>
  </si>
  <si>
    <t>Resumo</t>
  </si>
  <si>
    <t>Mês</t>
  </si>
  <si>
    <t>Inputs</t>
  </si>
  <si>
    <t>Custo Total 1 Ano</t>
  </si>
  <si>
    <t>Dia</t>
  </si>
  <si>
    <t>Custo Total 2 Ano</t>
  </si>
  <si>
    <t>Uber</t>
  </si>
  <si>
    <t>Custo Total 3 Ano</t>
  </si>
  <si>
    <t>Gasolina</t>
  </si>
  <si>
    <t>Custo Total 4 Ano</t>
  </si>
  <si>
    <t>KM Mês</t>
  </si>
  <si>
    <t>Saldo Financiado (Caso financie)</t>
  </si>
  <si>
    <t>Tempo Financiamento Meses (Caso Financie)</t>
  </si>
  <si>
    <t>Juros Financiamento Mês Total (Caso Financie)</t>
  </si>
  <si>
    <t>Orçamento Aluguel</t>
  </si>
  <si>
    <t>https://www.dahrujrentacar.com.br/#/</t>
  </si>
  <si>
    <t>KM Por Litro Gasolina Médio</t>
  </si>
  <si>
    <t>Carro</t>
  </si>
  <si>
    <t>Cambio</t>
  </si>
  <si>
    <t>Motor</t>
  </si>
  <si>
    <t>Km 1k Mês</t>
  </si>
  <si>
    <t>Km 1,5k Mês</t>
  </si>
  <si>
    <t>Km 2k Mês</t>
  </si>
  <si>
    <t>Preço Litro Gasolina</t>
  </si>
  <si>
    <t>Versa</t>
  </si>
  <si>
    <t>Autom.</t>
  </si>
  <si>
    <t>Sentra</t>
  </si>
  <si>
    <t>Financeiro</t>
  </si>
  <si>
    <t>Kicks</t>
  </si>
  <si>
    <t>Valor Futuro do Financiamento</t>
  </si>
  <si>
    <t>Compass</t>
  </si>
  <si>
    <t>Juros Totais Financiamento</t>
  </si>
  <si>
    <t>Custo Oportunidade (Investimento a.a)</t>
  </si>
  <si>
    <t>Resumo Final Custo Mês com Combustivel</t>
  </si>
  <si>
    <t>Aluguel</t>
  </si>
  <si>
    <t>Comprar</t>
  </si>
  <si>
    <t>Custos Anuais</t>
  </si>
  <si>
    <t>Seguro</t>
  </si>
  <si>
    <t>IPVA</t>
  </si>
  <si>
    <t>Revisão</t>
  </si>
  <si>
    <t>Desvalorização Total</t>
  </si>
  <si>
    <t>Desvalorização 1 Ano</t>
  </si>
  <si>
    <t>Dolar</t>
  </si>
  <si>
    <t>Pont Cart/$</t>
  </si>
  <si>
    <t>Desvalorização 2 Ano</t>
  </si>
  <si>
    <t>Desvalorização 3 Ano</t>
  </si>
  <si>
    <t>Desvalorização 4 Ano</t>
  </si>
  <si>
    <t>Smiles</t>
  </si>
  <si>
    <t>Combus</t>
  </si>
  <si>
    <t>Desvalorização 5 Ano</t>
  </si>
  <si>
    <t>Cartão Cré.</t>
  </si>
  <si>
    <t>Manutenção Total Somente a partir do 3 Ano</t>
  </si>
  <si>
    <t>*Smiles - Comprando Crédito do Uber 1 real 2 pontos, se for Clube Smiles são 3 pontos</t>
  </si>
  <si>
    <t>Manutenção 3 Ano</t>
  </si>
  <si>
    <t>*Combustivel Petrobras Premia ou KM de Vantagem- Gastos com Combustivel</t>
  </si>
  <si>
    <t>Manutenção 4 Ano</t>
  </si>
  <si>
    <t>Manutenção 5 Ano</t>
  </si>
  <si>
    <t>Fontes:</t>
  </si>
  <si>
    <t>IPVA 1º ano: 4% do valor do veículo, considerando a depreciação do mesmo (média de 15% 1 ano e 10% demais anos); Licenciamento e DPVAT:  Revisões previstas no manual do veículo: valores conforme previsto nos sites das montadoras; Seguro 1º ano: média brasileira de 5% do valor do veículo. Fonte: Seguro 2º ano: média brasileira de 5% do valor do veículo, considerando a depreciação do mesmo (média de 10% ao ano);  Custo de oportunidade: termo usado em economia para indicar a perda financeira que poderia ser gerada em alguma aplicação alternativa. Cálculo realizado considerando a aplicação do valor da compra no carro na modalidade LCI a taxa de 6.4% ao ano</t>
  </si>
  <si>
    <t>Previsão de Tempo com o carro (anos)</t>
  </si>
  <si>
    <t>Previsão de KM Rodados p/Dia</t>
  </si>
  <si>
    <t>Possibilidade dos Custos converter em pontos para viagens</t>
  </si>
  <si>
    <t>Valor do Carro para Compra</t>
  </si>
  <si>
    <t>http://www.excelsemlimites.com.br/</t>
  </si>
  <si>
    <t>P/ Campinas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</si>
</sst>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/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0" xfId="0" applyNumberFormat="1" applyAlignment="1">
      <alignment horizontal="left"/>
    </xf>
    <xf numFmtId="43" fontId="0" fillId="2" borderId="0" xfId="1" applyFont="1" applyFill="1" applyAlignment="1"/>
    <xf numFmtId="164" fontId="0" fillId="0" borderId="0" xfId="3" applyNumberFormat="1" applyFont="1"/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2" borderId="0" xfId="1" applyNumberFormat="1" applyFont="1" applyFill="1" applyAlignment="1"/>
    <xf numFmtId="10" fontId="0" fillId="2" borderId="0" xfId="0" applyNumberFormat="1" applyFill="1"/>
    <xf numFmtId="0" fontId="2" fillId="0" borderId="0" xfId="0" applyFont="1" applyAlignment="1">
      <alignment horizontal="left"/>
    </xf>
    <xf numFmtId="0" fontId="4" fillId="0" borderId="0" xfId="4" applyAlignment="1">
      <alignment horizontal="left"/>
    </xf>
    <xf numFmtId="43" fontId="0" fillId="0" borderId="1" xfId="0" applyNumberFormat="1" applyBorder="1" applyAlignment="1">
      <alignment horizontal="left"/>
    </xf>
    <xf numFmtId="0" fontId="3" fillId="0" borderId="0" xfId="0" applyFont="1"/>
    <xf numFmtId="43" fontId="0" fillId="0" borderId="0" xfId="0" applyNumberFormat="1"/>
    <xf numFmtId="8" fontId="0" fillId="0" borderId="0" xfId="0" applyNumberFormat="1"/>
    <xf numFmtId="44" fontId="0" fillId="0" borderId="0" xfId="2" applyFont="1" applyBorder="1" applyAlignment="1">
      <alignment horizontal="center"/>
    </xf>
    <xf numFmtId="44" fontId="6" fillId="0" borderId="0" xfId="2" applyFont="1" applyBorder="1" applyAlignment="1"/>
    <xf numFmtId="0" fontId="2" fillId="0" borderId="1" xfId="0" applyFont="1" applyBorder="1"/>
    <xf numFmtId="43" fontId="2" fillId="0" borderId="1" xfId="0" applyNumberFormat="1" applyFont="1" applyBorder="1"/>
    <xf numFmtId="0" fontId="2" fillId="0" borderId="0" xfId="0" applyFont="1"/>
    <xf numFmtId="166" fontId="2" fillId="0" borderId="5" xfId="0" applyNumberFormat="1" applyFont="1" applyBorder="1"/>
    <xf numFmtId="0" fontId="0" fillId="0" borderId="6" xfId="0" applyBorder="1"/>
    <xf numFmtId="166" fontId="2" fillId="0" borderId="1" xfId="0" applyNumberFormat="1" applyFont="1" applyBorder="1"/>
    <xf numFmtId="166" fontId="0" fillId="0" borderId="7" xfId="1" applyNumberFormat="1" applyFont="1" applyBorder="1"/>
    <xf numFmtId="0" fontId="0" fillId="0" borderId="8" xfId="0" applyBorder="1"/>
    <xf numFmtId="166" fontId="0" fillId="0" borderId="7" xfId="1" applyNumberFormat="1" applyFont="1" applyBorder="1" applyAlignment="1">
      <alignment horizontal="center"/>
    </xf>
    <xf numFmtId="166" fontId="0" fillId="0" borderId="0" xfId="0" applyNumberFormat="1"/>
    <xf numFmtId="166" fontId="0" fillId="0" borderId="0" xfId="1" applyNumberFormat="1" applyFont="1"/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3" fontId="0" fillId="2" borderId="0" xfId="1" applyFont="1" applyFill="1" applyBorder="1" applyAlignment="1"/>
    <xf numFmtId="10" fontId="0" fillId="2" borderId="1" xfId="0" applyNumberFormat="1" applyFill="1" applyBorder="1"/>
    <xf numFmtId="0" fontId="0" fillId="2" borderId="1" xfId="1" applyNumberFormat="1" applyFont="1" applyFill="1" applyBorder="1" applyAlignment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6" fillId="0" borderId="4" xfId="2" applyFont="1" applyBorder="1" applyAlignment="1"/>
    <xf numFmtId="165" fontId="0" fillId="2" borderId="0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3" applyNumberFormat="1" applyFont="1" applyFill="1" applyAlignment="1">
      <alignment horizontal="center"/>
    </xf>
    <xf numFmtId="0" fontId="4" fillId="0" borderId="0" xfId="4" applyAlignment="1">
      <alignment horizontal="left" vertical="center"/>
    </xf>
    <xf numFmtId="0" fontId="9" fillId="4" borderId="0" xfId="0" applyFont="1" applyFill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R$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10</xdr:row>
          <xdr:rowOff>165100</xdr:rowOff>
        </xdr:from>
        <xdr:to>
          <xdr:col>5</xdr:col>
          <xdr:colOff>38100</xdr:colOff>
          <xdr:row>12</xdr:row>
          <xdr:rowOff>31750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11</xdr:row>
          <xdr:rowOff>171450</xdr:rowOff>
        </xdr:from>
        <xdr:to>
          <xdr:col>5</xdr:col>
          <xdr:colOff>38100</xdr:colOff>
          <xdr:row>13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12</xdr:row>
          <xdr:rowOff>165100</xdr:rowOff>
        </xdr:from>
        <xdr:to>
          <xdr:col>5</xdr:col>
          <xdr:colOff>31750</xdr:colOff>
          <xdr:row>14</xdr:row>
          <xdr:rowOff>31750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13</xdr:row>
          <xdr:rowOff>158750</xdr:rowOff>
        </xdr:from>
        <xdr:to>
          <xdr:col>5</xdr:col>
          <xdr:colOff>31750</xdr:colOff>
          <xdr:row>15</xdr:row>
          <xdr:rowOff>25400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excelsemlimites.com.br/" TargetMode="External"/><Relationship Id="rId1" Type="http://schemas.openxmlformats.org/officeDocument/2006/relationships/hyperlink" Target="https://www.dahrujrentacar.com.br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403A-974D-4A0F-8C49-EF47FF68097C}">
  <sheetPr codeName="Planilha1"/>
  <dimension ref="A1:U47"/>
  <sheetViews>
    <sheetView showGridLines="0" showRowColHeaders="0" tabSelected="1" workbookViewId="0">
      <selection activeCell="L11" sqref="L11"/>
    </sheetView>
  </sheetViews>
  <sheetFormatPr defaultRowHeight="14.5" x14ac:dyDescent="0.35"/>
  <cols>
    <col min="1" max="1" width="1.453125" customWidth="1"/>
    <col min="2" max="2" width="35.81640625" style="1" customWidth="1"/>
    <col min="3" max="3" width="7.36328125" style="2" customWidth="1"/>
    <col min="4" max="4" width="22.81640625" customWidth="1"/>
    <col min="5" max="5" width="8.7265625" customWidth="1"/>
    <col min="6" max="6" width="10.90625" customWidth="1"/>
    <col min="7" max="8" width="11.81640625" customWidth="1"/>
    <col min="9" max="10" width="11.81640625" style="2" customWidth="1"/>
    <col min="11" max="11" width="11.81640625" customWidth="1"/>
    <col min="12" max="15" width="10.08984375" customWidth="1"/>
    <col min="16" max="16" width="8.7265625" customWidth="1"/>
    <col min="17" max="17" width="9.08984375" customWidth="1"/>
    <col min="18" max="18" width="8.7265625" style="3" customWidth="1"/>
    <col min="19" max="19" width="9.08984375" bestFit="1" customWidth="1"/>
  </cols>
  <sheetData>
    <row r="1" spans="2:21" ht="8" customHeight="1" x14ac:dyDescent="0.35"/>
    <row r="2" spans="2:21" ht="28.5" x14ac:dyDescent="0.65">
      <c r="B2" s="4" t="s">
        <v>0</v>
      </c>
      <c r="F2" s="5"/>
      <c r="G2" s="6" t="s">
        <v>1</v>
      </c>
      <c r="H2" s="5"/>
      <c r="I2" s="7">
        <f>SUM(I4:I8)</f>
        <v>48944.18411152414</v>
      </c>
      <c r="J2" s="7">
        <f>I2/(D6*12)</f>
        <v>2039.3410046468391</v>
      </c>
    </row>
    <row r="3" spans="2:21" x14ac:dyDescent="0.35">
      <c r="B3" s="58" t="s">
        <v>66</v>
      </c>
      <c r="F3" s="8" t="s">
        <v>2</v>
      </c>
      <c r="G3" s="8" t="s">
        <v>3</v>
      </c>
      <c r="H3" s="8"/>
      <c r="I3" s="8" t="s">
        <v>2</v>
      </c>
      <c r="J3" s="8" t="s">
        <v>4</v>
      </c>
      <c r="M3" s="9"/>
    </row>
    <row r="4" spans="2:21" x14ac:dyDescent="0.35">
      <c r="B4" s="6" t="s">
        <v>5</v>
      </c>
      <c r="C4" s="10"/>
      <c r="D4" s="11"/>
      <c r="F4" s="2">
        <v>1</v>
      </c>
      <c r="G4" s="1" t="s">
        <v>6</v>
      </c>
      <c r="H4" s="1"/>
      <c r="I4" s="12">
        <f>IF(F4&lt;=$D$6,SUM($D$20:$D$22)+D25+D32+IF(F4&lt;=$D$6,(($D$16+$D$17)/$D$6),0),0)</f>
        <v>26472.09205576207</v>
      </c>
      <c r="J4" s="12">
        <f>I4/12</f>
        <v>2206.0076713135059</v>
      </c>
      <c r="M4" s="9"/>
      <c r="R4" s="3" t="s">
        <v>7</v>
      </c>
      <c r="S4" t="s">
        <v>4</v>
      </c>
    </row>
    <row r="5" spans="2:21" x14ac:dyDescent="0.35">
      <c r="B5" s="1" t="s">
        <v>65</v>
      </c>
      <c r="D5" s="13">
        <v>80000</v>
      </c>
      <c r="F5" s="2">
        <v>2</v>
      </c>
      <c r="G5" s="1" t="s">
        <v>8</v>
      </c>
      <c r="H5" s="1"/>
      <c r="I5" s="12">
        <f>IF(F5&lt;=$D$6,SUM($D$20:$D$22)+D26+D33+IF(F5&lt;=$D$6,(($D$16+$D$17)/$D$6),0),0)</f>
        <v>22472.09205576207</v>
      </c>
      <c r="J5" s="12">
        <f t="shared" ref="J5:J8" si="0">I5/12</f>
        <v>1872.6743379801726</v>
      </c>
      <c r="M5" s="14"/>
      <c r="P5" s="2" t="s">
        <v>9</v>
      </c>
      <c r="Q5" s="2">
        <v>1.43</v>
      </c>
      <c r="R5" s="15">
        <f>(Q5*D7)+2</f>
        <v>30.599999999999998</v>
      </c>
      <c r="S5" s="16">
        <f>R5*30</f>
        <v>917.99999999999989</v>
      </c>
    </row>
    <row r="6" spans="2:21" x14ac:dyDescent="0.35">
      <c r="B6" s="1" t="s">
        <v>62</v>
      </c>
      <c r="D6" s="17">
        <v>2</v>
      </c>
      <c r="F6" s="2">
        <v>3</v>
      </c>
      <c r="G6" s="1" t="s">
        <v>10</v>
      </c>
      <c r="H6" s="1"/>
      <c r="I6" s="12">
        <f>IF(F6&lt;=$D$6,SUM($D$20:$D$22)+D27+D34+IF(F6&lt;=$D$6,(($D$16+$D$17)/$D$6),0),0)</f>
        <v>0</v>
      </c>
      <c r="J6" s="12">
        <f t="shared" si="0"/>
        <v>0</v>
      </c>
      <c r="L6" s="44"/>
      <c r="M6" s="9"/>
      <c r="P6" s="16" t="s">
        <v>11</v>
      </c>
      <c r="Q6" s="16">
        <f>D7/D11</f>
        <v>1.7543859649122806</v>
      </c>
      <c r="R6" s="15">
        <f>Q6*D12</f>
        <v>7.5438596491228065</v>
      </c>
      <c r="S6" s="16">
        <f>R6*30</f>
        <v>226.31578947368419</v>
      </c>
    </row>
    <row r="7" spans="2:21" x14ac:dyDescent="0.35">
      <c r="B7" s="5" t="s">
        <v>63</v>
      </c>
      <c r="C7" s="10"/>
      <c r="D7" s="43">
        <v>20</v>
      </c>
      <c r="F7" s="2">
        <v>4</v>
      </c>
      <c r="G7" s="1" t="s">
        <v>12</v>
      </c>
      <c r="H7" s="1"/>
      <c r="I7" s="12">
        <f>IF(F7&lt;=$D$6,SUM($D$20:$D$22)+D28+D35+IF(F7&lt;=$D$6,(($D$16+$D$17)/$D$6),0),0)</f>
        <v>0</v>
      </c>
      <c r="J7" s="12">
        <f t="shared" si="0"/>
        <v>0</v>
      </c>
      <c r="M7" s="14"/>
      <c r="P7" t="s">
        <v>13</v>
      </c>
      <c r="Q7">
        <f>D7*30</f>
        <v>600</v>
      </c>
      <c r="R7" s="3">
        <v>3</v>
      </c>
      <c r="S7" s="2">
        <f>IF(Q7&gt;1500,3,IF(Q7&gt;1000,2,1))</f>
        <v>1</v>
      </c>
      <c r="T7">
        <f>VLOOKUP(R7,E12:K15,4+S7,0)</f>
        <v>1699</v>
      </c>
    </row>
    <row r="8" spans="2:21" x14ac:dyDescent="0.35">
      <c r="B8" s="39" t="s">
        <v>14</v>
      </c>
      <c r="C8" s="40"/>
      <c r="D8" s="41">
        <v>30000</v>
      </c>
      <c r="F8" s="2">
        <v>5</v>
      </c>
      <c r="G8" s="1" t="s">
        <v>6</v>
      </c>
      <c r="H8" s="1"/>
      <c r="I8" s="12">
        <f>IF(F8&lt;=$D$6,SUM($D$20:$D$22)+D29+D37+IF(F8&lt;=$D$6,(($D$16+$D$17)/$D$6),0),0)</f>
        <v>0</v>
      </c>
      <c r="J8" s="12">
        <f t="shared" si="0"/>
        <v>0</v>
      </c>
    </row>
    <row r="9" spans="2:21" x14ac:dyDescent="0.35">
      <c r="B9" s="39" t="s">
        <v>15</v>
      </c>
      <c r="C9" s="40"/>
      <c r="D9" s="41">
        <v>24</v>
      </c>
    </row>
    <row r="10" spans="2:21" x14ac:dyDescent="0.35">
      <c r="B10" s="5" t="s">
        <v>16</v>
      </c>
      <c r="C10" s="10"/>
      <c r="D10" s="42">
        <v>1.2E-2</v>
      </c>
      <c r="E10" s="1"/>
      <c r="F10" s="19" t="s">
        <v>17</v>
      </c>
      <c r="G10" s="1"/>
      <c r="H10" s="20" t="s">
        <v>18</v>
      </c>
      <c r="I10" s="12"/>
      <c r="J10" s="12"/>
      <c r="K10" s="59" t="s">
        <v>67</v>
      </c>
    </row>
    <row r="11" spans="2:21" x14ac:dyDescent="0.35">
      <c r="B11" s="1" t="s">
        <v>19</v>
      </c>
      <c r="D11" s="17">
        <v>11.4</v>
      </c>
      <c r="F11" s="5" t="s">
        <v>20</v>
      </c>
      <c r="G11" s="5" t="s">
        <v>21</v>
      </c>
      <c r="H11" s="5" t="s">
        <v>22</v>
      </c>
      <c r="I11" s="21" t="s">
        <v>23</v>
      </c>
      <c r="J11" s="21" t="s">
        <v>24</v>
      </c>
      <c r="K11" s="21" t="s">
        <v>25</v>
      </c>
      <c r="L11" s="16"/>
      <c r="M11" s="16"/>
      <c r="N11" s="16"/>
      <c r="O11" s="16"/>
    </row>
    <row r="12" spans="2:21" x14ac:dyDescent="0.35">
      <c r="B12" s="1" t="s">
        <v>26</v>
      </c>
      <c r="D12" s="17">
        <v>4.3</v>
      </c>
      <c r="E12" s="22">
        <v>1</v>
      </c>
      <c r="F12" s="41" t="s">
        <v>27</v>
      </c>
      <c r="G12" s="41" t="s">
        <v>28</v>
      </c>
      <c r="H12" s="55">
        <v>1.6</v>
      </c>
      <c r="I12" s="41">
        <v>1399</v>
      </c>
      <c r="J12" s="41">
        <v>1599</v>
      </c>
      <c r="K12" s="41">
        <v>1799</v>
      </c>
      <c r="L12" s="3"/>
      <c r="M12" s="3"/>
      <c r="N12" s="3"/>
      <c r="O12" s="3"/>
      <c r="P12" s="23"/>
      <c r="Q12" s="23"/>
      <c r="T12" s="9"/>
      <c r="U12" s="23"/>
    </row>
    <row r="13" spans="2:21" x14ac:dyDescent="0.35">
      <c r="E13" s="22">
        <v>2</v>
      </c>
      <c r="F13" s="41" t="s">
        <v>29</v>
      </c>
      <c r="G13" s="41" t="s">
        <v>28</v>
      </c>
      <c r="H13" s="55">
        <v>2</v>
      </c>
      <c r="I13" s="41">
        <v>1899</v>
      </c>
      <c r="J13" s="41">
        <v>2099</v>
      </c>
      <c r="K13" s="41">
        <v>2299</v>
      </c>
      <c r="L13" s="3"/>
      <c r="M13" s="3"/>
      <c r="N13" s="3"/>
      <c r="O13" s="3"/>
      <c r="P13" s="23"/>
      <c r="Q13" s="23"/>
    </row>
    <row r="14" spans="2:21" x14ac:dyDescent="0.35">
      <c r="B14" s="6" t="s">
        <v>30</v>
      </c>
      <c r="C14" s="10"/>
      <c r="D14" s="11"/>
      <c r="E14" s="22">
        <v>3</v>
      </c>
      <c r="F14" s="41" t="s">
        <v>31</v>
      </c>
      <c r="G14" s="41" t="s">
        <v>28</v>
      </c>
      <c r="H14" s="55">
        <v>1.6</v>
      </c>
      <c r="I14" s="41">
        <v>1699</v>
      </c>
      <c r="J14" s="41">
        <v>1999</v>
      </c>
      <c r="K14" s="41">
        <v>2099</v>
      </c>
      <c r="L14" s="3"/>
      <c r="M14" s="3"/>
      <c r="N14" s="3"/>
      <c r="O14" s="3"/>
      <c r="P14" s="23"/>
      <c r="Q14" s="23"/>
    </row>
    <row r="15" spans="2:21" x14ac:dyDescent="0.35">
      <c r="B15" s="1" t="s">
        <v>32</v>
      </c>
      <c r="D15" s="24">
        <f>FV(D10,D9,,D8*-1)</f>
        <v>39944.18411152414</v>
      </c>
      <c r="E15" s="22">
        <v>4</v>
      </c>
      <c r="F15" s="41" t="s">
        <v>33</v>
      </c>
      <c r="G15" s="41" t="s">
        <v>28</v>
      </c>
      <c r="H15" s="55">
        <v>2</v>
      </c>
      <c r="I15" s="41">
        <v>2399</v>
      </c>
      <c r="J15" s="41">
        <v>2649</v>
      </c>
      <c r="K15" s="41">
        <v>2899</v>
      </c>
      <c r="L15" s="3"/>
      <c r="M15" s="3"/>
      <c r="N15" s="3"/>
      <c r="O15" s="3"/>
      <c r="P15" s="23"/>
      <c r="Q15" s="23"/>
    </row>
    <row r="16" spans="2:21" x14ac:dyDescent="0.35">
      <c r="B16" s="1" t="s">
        <v>34</v>
      </c>
      <c r="D16" s="24">
        <f>D15-D8</f>
        <v>9944.1841115241405</v>
      </c>
    </row>
    <row r="17" spans="1:15" x14ac:dyDescent="0.35">
      <c r="B17" s="1" t="s">
        <v>35</v>
      </c>
      <c r="C17" s="18">
        <v>0.06</v>
      </c>
      <c r="D17" s="23">
        <f>(D5-D8)*C17</f>
        <v>3000</v>
      </c>
      <c r="F17" s="19" t="s">
        <v>36</v>
      </c>
      <c r="K17" s="23"/>
      <c r="L17" s="23"/>
      <c r="M17" s="23"/>
      <c r="N17" s="23"/>
      <c r="O17" s="23"/>
    </row>
    <row r="18" spans="1:15" x14ac:dyDescent="0.35">
      <c r="F18" s="48" t="s">
        <v>9</v>
      </c>
      <c r="G18" s="49"/>
      <c r="H18" s="50" t="s">
        <v>37</v>
      </c>
      <c r="I18" s="51"/>
      <c r="J18" s="52" t="s">
        <v>38</v>
      </c>
      <c r="K18" s="53"/>
      <c r="L18" s="25"/>
      <c r="M18" s="25"/>
      <c r="N18" s="25"/>
      <c r="O18" s="25"/>
    </row>
    <row r="19" spans="1:15" ht="15.5" customHeight="1" x14ac:dyDescent="0.6">
      <c r="B19" s="6" t="s">
        <v>39</v>
      </c>
      <c r="C19" s="10"/>
      <c r="D19" s="11"/>
      <c r="F19" s="54">
        <f>S5</f>
        <v>917.99999999999989</v>
      </c>
      <c r="G19" s="54"/>
      <c r="H19" s="54">
        <f>T7+S6</f>
        <v>1925.3157894736842</v>
      </c>
      <c r="I19" s="54"/>
      <c r="J19" s="54">
        <f>J2+S6</f>
        <v>2265.6567941205235</v>
      </c>
      <c r="K19" s="54"/>
      <c r="L19" s="26"/>
      <c r="M19" s="26"/>
      <c r="N19" s="26"/>
      <c r="O19" s="26"/>
    </row>
    <row r="20" spans="1:15" ht="14.5" customHeight="1" x14ac:dyDescent="0.6">
      <c r="B20" s="1" t="s">
        <v>40</v>
      </c>
      <c r="C20" s="56">
        <v>4.4999999999999998E-2</v>
      </c>
      <c r="D20" s="3">
        <f>C20*$D$5</f>
        <v>3600</v>
      </c>
      <c r="F20" s="54"/>
      <c r="G20" s="54"/>
      <c r="H20" s="54"/>
      <c r="I20" s="54"/>
      <c r="J20" s="54"/>
      <c r="K20" s="54"/>
      <c r="L20" s="26"/>
      <c r="M20" s="26"/>
      <c r="N20" s="26"/>
      <c r="O20" s="26"/>
    </row>
    <row r="21" spans="1:15" x14ac:dyDescent="0.35">
      <c r="B21" s="1" t="s">
        <v>41</v>
      </c>
      <c r="C21" s="56">
        <v>0.04</v>
      </c>
      <c r="D21" s="3">
        <f>C21*$D$5</f>
        <v>3200</v>
      </c>
      <c r="F21" s="46">
        <f>F19*12</f>
        <v>11015.999999999998</v>
      </c>
      <c r="G21" s="46"/>
      <c r="H21" s="46">
        <f>H19*12</f>
        <v>23103.78947368421</v>
      </c>
      <c r="I21" s="46"/>
      <c r="J21" s="46">
        <f>J19*12</f>
        <v>27187.881529446284</v>
      </c>
      <c r="K21" s="46"/>
      <c r="L21" s="44"/>
    </row>
    <row r="22" spans="1:15" x14ac:dyDescent="0.35">
      <c r="B22" s="1" t="s">
        <v>42</v>
      </c>
      <c r="C22" s="56">
        <v>1.4999999999999999E-2</v>
      </c>
      <c r="D22" s="3">
        <f>C22*D5</f>
        <v>1200</v>
      </c>
      <c r="I22" s="45"/>
      <c r="K22" s="45"/>
    </row>
    <row r="23" spans="1:15" x14ac:dyDescent="0.35">
      <c r="F23" s="27" t="s">
        <v>64</v>
      </c>
      <c r="G23" s="11"/>
      <c r="H23" s="11"/>
      <c r="I23" s="10"/>
      <c r="J23" s="10"/>
      <c r="K23" s="11"/>
    </row>
    <row r="24" spans="1:15" x14ac:dyDescent="0.35">
      <c r="B24" s="6" t="s">
        <v>43</v>
      </c>
      <c r="C24" s="10"/>
      <c r="D24" s="28">
        <f>SUM(D25:D29)</f>
        <v>20000</v>
      </c>
    </row>
    <row r="25" spans="1:15" x14ac:dyDescent="0.35">
      <c r="A25">
        <v>1</v>
      </c>
      <c r="B25" s="1" t="s">
        <v>44</v>
      </c>
      <c r="C25" s="57">
        <v>0.15</v>
      </c>
      <c r="D25" s="3">
        <f>IF(A25&lt;=$D$6,C25*$D$5,0)</f>
        <v>12000</v>
      </c>
      <c r="F25" s="29" t="s">
        <v>5</v>
      </c>
      <c r="H25" t="s">
        <v>45</v>
      </c>
      <c r="I25" s="17">
        <v>5.25</v>
      </c>
      <c r="J25" s="1" t="s">
        <v>46</v>
      </c>
      <c r="K25" s="17">
        <v>2</v>
      </c>
    </row>
    <row r="26" spans="1:15" x14ac:dyDescent="0.35">
      <c r="A26">
        <v>2</v>
      </c>
      <c r="B26" s="1" t="s">
        <v>47</v>
      </c>
      <c r="C26" s="57">
        <v>0.1</v>
      </c>
      <c r="D26" s="3">
        <f>IF(A26&lt;=$D$6,C26*$D$5,0)</f>
        <v>8000</v>
      </c>
    </row>
    <row r="27" spans="1:15" x14ac:dyDescent="0.35">
      <c r="A27">
        <v>3</v>
      </c>
      <c r="B27" s="1" t="s">
        <v>48</v>
      </c>
      <c r="C27" s="57">
        <v>0.1</v>
      </c>
      <c r="D27" s="3">
        <f>IF(A27&lt;=$D$6,C27*$D$5,0)</f>
        <v>0</v>
      </c>
      <c r="F27" s="11" t="s">
        <v>9</v>
      </c>
      <c r="G27" s="30">
        <f>SUM(G28:G29)</f>
        <v>2185.7142857142853</v>
      </c>
      <c r="H27" s="31" t="s">
        <v>37</v>
      </c>
      <c r="I27" s="30">
        <f>SUM(I28:I29)</f>
        <v>1186.0852130325814</v>
      </c>
      <c r="J27" s="5" t="s">
        <v>38</v>
      </c>
      <c r="K27" s="32">
        <f>SUM(K28:K29)</f>
        <v>538.84711779448628</v>
      </c>
    </row>
    <row r="28" spans="1:15" x14ac:dyDescent="0.35">
      <c r="A28">
        <v>4</v>
      </c>
      <c r="B28" s="1" t="s">
        <v>49</v>
      </c>
      <c r="C28" s="57">
        <v>0.1</v>
      </c>
      <c r="D28" s="3">
        <f>IF(A28&lt;=$D$6,C28*$D$5,0)</f>
        <v>0</v>
      </c>
      <c r="F28" t="s">
        <v>50</v>
      </c>
      <c r="G28" s="33">
        <f>F19*2</f>
        <v>1835.9999999999998</v>
      </c>
      <c r="H28" s="34" t="s">
        <v>51</v>
      </c>
      <c r="I28" s="35">
        <f>S6*2</f>
        <v>452.63157894736838</v>
      </c>
      <c r="J28" t="s">
        <v>51</v>
      </c>
      <c r="K28" s="36">
        <f>S6*2</f>
        <v>452.63157894736838</v>
      </c>
    </row>
    <row r="29" spans="1:15" x14ac:dyDescent="0.35">
      <c r="A29">
        <v>5</v>
      </c>
      <c r="B29" s="1" t="s">
        <v>52</v>
      </c>
      <c r="C29" s="57">
        <v>0.1</v>
      </c>
      <c r="D29" s="3">
        <f>IF(A29&lt;=$D$6,C29*$D$5,0)</f>
        <v>0</v>
      </c>
      <c r="F29" t="s">
        <v>53</v>
      </c>
      <c r="G29" s="33">
        <f>F19/$I$25*$K$25</f>
        <v>349.71428571428567</v>
      </c>
      <c r="H29" s="34" t="s">
        <v>53</v>
      </c>
      <c r="I29" s="33">
        <f>H19/$I$25*$K$25</f>
        <v>733.45363408521303</v>
      </c>
      <c r="J29" t="s">
        <v>53</v>
      </c>
      <c r="K29" s="37">
        <f>(J19-J2)/$I$25*$K$25</f>
        <v>86.21553884711787</v>
      </c>
    </row>
    <row r="31" spans="1:15" x14ac:dyDescent="0.35">
      <c r="B31" s="6" t="s">
        <v>54</v>
      </c>
      <c r="C31" s="10"/>
      <c r="D31" s="28">
        <f>SUM(D32:D37)</f>
        <v>0</v>
      </c>
      <c r="F31" s="38" t="s">
        <v>55</v>
      </c>
    </row>
    <row r="32" spans="1:15" x14ac:dyDescent="0.35">
      <c r="A32">
        <v>3</v>
      </c>
      <c r="B32" s="1" t="s">
        <v>56</v>
      </c>
      <c r="C32" s="56">
        <v>0.02</v>
      </c>
      <c r="D32" s="23">
        <f>IF(A32&lt;=$D$6,C32*$D$5,0)</f>
        <v>0</v>
      </c>
      <c r="F32" s="38" t="s">
        <v>57</v>
      </c>
    </row>
    <row r="33" spans="1:4" x14ac:dyDescent="0.35">
      <c r="A33">
        <v>4</v>
      </c>
      <c r="B33" s="1" t="s">
        <v>58</v>
      </c>
      <c r="C33" s="56">
        <v>3.5000000000000003E-2</v>
      </c>
      <c r="D33" s="23">
        <f>IF(A33&lt;=$D$6,C33*$D$5,0)</f>
        <v>0</v>
      </c>
    </row>
    <row r="34" spans="1:4" x14ac:dyDescent="0.35">
      <c r="A34">
        <v>5</v>
      </c>
      <c r="B34" s="1" t="s">
        <v>59</v>
      </c>
      <c r="C34" s="56">
        <v>0.04</v>
      </c>
      <c r="D34" s="23">
        <f>IF(A34&lt;=$D$6,C34*$D$5,0)</f>
        <v>0</v>
      </c>
    </row>
    <row r="36" spans="1:4" x14ac:dyDescent="0.35">
      <c r="B36" s="19" t="s">
        <v>60</v>
      </c>
    </row>
    <row r="37" spans="1:4" ht="10" customHeight="1" x14ac:dyDescent="0.35">
      <c r="B37" s="47" t="s">
        <v>61</v>
      </c>
      <c r="C37" s="47"/>
      <c r="D37" s="47"/>
    </row>
    <row r="38" spans="1:4" x14ac:dyDescent="0.35">
      <c r="B38" s="47"/>
      <c r="C38" s="47"/>
      <c r="D38" s="47"/>
    </row>
    <row r="39" spans="1:4" x14ac:dyDescent="0.35">
      <c r="B39" s="47"/>
      <c r="C39" s="47"/>
      <c r="D39" s="47"/>
    </row>
    <row r="40" spans="1:4" x14ac:dyDescent="0.35">
      <c r="B40" s="47"/>
      <c r="C40" s="47"/>
      <c r="D40" s="47"/>
    </row>
    <row r="41" spans="1:4" x14ac:dyDescent="0.35">
      <c r="B41" s="47"/>
      <c r="C41" s="47"/>
      <c r="D41" s="47"/>
    </row>
    <row r="42" spans="1:4" x14ac:dyDescent="0.35">
      <c r="B42" s="47"/>
      <c r="C42" s="47"/>
      <c r="D42" s="47"/>
    </row>
    <row r="43" spans="1:4" x14ac:dyDescent="0.35">
      <c r="B43" s="47"/>
      <c r="C43" s="47"/>
      <c r="D43" s="47"/>
    </row>
    <row r="44" spans="1:4" x14ac:dyDescent="0.35">
      <c r="B44" s="47"/>
      <c r="C44" s="47"/>
      <c r="D44" s="47"/>
    </row>
    <row r="45" spans="1:4" x14ac:dyDescent="0.35">
      <c r="B45" s="47"/>
      <c r="C45" s="47"/>
      <c r="D45" s="47"/>
    </row>
    <row r="46" spans="1:4" x14ac:dyDescent="0.35">
      <c r="B46" s="47"/>
      <c r="C46" s="47"/>
      <c r="D46" s="47"/>
    </row>
    <row r="47" spans="1:4" x14ac:dyDescent="0.35">
      <c r="B47" s="47"/>
      <c r="C47" s="47"/>
      <c r="D47" s="47"/>
    </row>
  </sheetData>
  <mergeCells count="10">
    <mergeCell ref="F21:G21"/>
    <mergeCell ref="H21:I21"/>
    <mergeCell ref="J21:K21"/>
    <mergeCell ref="B37:D47"/>
    <mergeCell ref="F18:G18"/>
    <mergeCell ref="H18:I18"/>
    <mergeCell ref="J18:K18"/>
    <mergeCell ref="F19:G20"/>
    <mergeCell ref="H19:I20"/>
    <mergeCell ref="J19:K20"/>
  </mergeCells>
  <conditionalFormatting sqref="F19:O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1">
    <dataValidation type="list" allowBlank="1" showInputMessage="1" showErrorMessage="1" sqref="D6" xr:uid="{CAC48DD4-5297-4EB5-B4B2-B3FCF6403EC6}">
      <formula1>"1,2,3,4,5"</formula1>
    </dataValidation>
  </dataValidations>
  <hyperlinks>
    <hyperlink ref="H10" r:id="rId1" location="/" xr:uid="{1132D48A-D60A-4F51-8D60-4C28DD359B8F}"/>
    <hyperlink ref="B3" r:id="rId2" xr:uid="{A90BB91D-16DE-4462-A17F-23B69ACCD67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Option Button 1">
              <controlPr defaultSize="0" autoFill="0" autoLine="0" autoPict="0">
                <anchor moveWithCells="1">
                  <from>
                    <xdr:col>4</xdr:col>
                    <xdr:colOff>393700</xdr:colOff>
                    <xdr:row>10</xdr:row>
                    <xdr:rowOff>165100</xdr:rowOff>
                  </from>
                  <to>
                    <xdr:col>5</xdr:col>
                    <xdr:colOff>38100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Option Button 2">
              <controlPr defaultSize="0" autoFill="0" autoLine="0" autoPict="0">
                <anchor moveWithCells="1">
                  <from>
                    <xdr:col>4</xdr:col>
                    <xdr:colOff>393700</xdr:colOff>
                    <xdr:row>11</xdr:row>
                    <xdr:rowOff>171450</xdr:rowOff>
                  </from>
                  <to>
                    <xdr:col>5</xdr:col>
                    <xdr:colOff>38100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>
                <anchor moveWithCells="1">
                  <from>
                    <xdr:col>4</xdr:col>
                    <xdr:colOff>387350</xdr:colOff>
                    <xdr:row>12</xdr:row>
                    <xdr:rowOff>165100</xdr:rowOff>
                  </from>
                  <to>
                    <xdr:col>5</xdr:col>
                    <xdr:colOff>31750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defaultSize="0" autoFill="0" autoLine="0" autoPict="0">
                <anchor moveWithCells="1">
                  <from>
                    <xdr:col>4</xdr:col>
                    <xdr:colOff>387350</xdr:colOff>
                    <xdr:row>13</xdr:row>
                    <xdr:rowOff>158750</xdr:rowOff>
                  </from>
                  <to>
                    <xdr:col>5</xdr:col>
                    <xdr:colOff>31750</xdr:colOff>
                    <xdr:row>15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Carro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Elquisson Silva</dc:creator>
  <cp:lastModifiedBy>Elquisson Silva</cp:lastModifiedBy>
  <dcterms:created xsi:type="dcterms:W3CDTF">2020-09-12T16:52:21Z</dcterms:created>
  <dcterms:modified xsi:type="dcterms:W3CDTF">2020-10-04T17:34:23Z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